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mulateur" sheetId="1" state="visible" r:id="rId3"/>
    <sheet name="Sourc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<sst xmlns="http://schemas.openxmlformats.org/spreadsheetml/2006/main" count="176" uniqueCount="161">
  <si>
    <t xml:space="preserve">SIMULATEUR DE RETOUR SUR INVESTISSEMENT</t>
  </si>
  <si>
    <t xml:space="preserve">Collecte et revalorisation des EPI jetables  ·  Calculateur individuel : à remplir par chaque industriel  ·  Estimation sourcée</t>
  </si>
  <si>
    <t xml:space="preserve">Cases blanches (texte bleu) = à saisir avec VOS données (les valeurs d’exemple sont fictives)  ·  cases colorées = calculées  ·  [S1] à [S5] = sources, détaillées dans l’onglet « Sources »</t>
  </si>
  <si>
    <t xml:space="preserve">A   VOTRE ENTREPRISE</t>
  </si>
  <si>
    <t xml:space="preserve">Paramètre</t>
  </si>
  <si>
    <t xml:space="preserve">Valeur</t>
  </si>
  <si>
    <t xml:space="preserve">Source ou origine de la donnée</t>
  </si>
  <si>
    <t xml:space="preserve">Nombre de vos sites concernés</t>
  </si>
  <si>
    <t xml:space="preserve">Votre donnée. Exemple fictif.</t>
  </si>
  <si>
    <t xml:space="preserve">Chariots roulants de 500 L par site</t>
  </si>
  <si>
    <t xml:space="preserve">[S1] Chariots 500 L fournis sur site, inclus dans le tarif.</t>
  </si>
  <si>
    <t xml:space="preserve">Collectes par semaine (1 à 3)</t>
  </si>
  <si>
    <t xml:space="preserve">[S1] Offre : 1 à 3 collectes par semaine.</t>
  </si>
  <si>
    <t xml:space="preserve">Semaines par mois</t>
  </si>
  <si>
    <t xml:space="preserve">Calcul : 52 semaines ÷ 12 mois.</t>
  </si>
  <si>
    <t xml:space="preserve">Durée du pilote (semaines)</t>
  </si>
  <si>
    <t xml:space="preserve">[S1] Durée du pilote proposée, ajustable.</t>
  </si>
  <si>
    <t xml:space="preserve">Poids moyen d’un chariot plein (kg)</t>
  </si>
  <si>
    <t xml:space="preserve">Non sourcé : valeur d’exemple, à remplacer par votre pesée réelle.</t>
  </si>
  <si>
    <t xml:space="preserve">Taux de recyclage matière</t>
  </si>
  <si>
    <t xml:space="preserve">[S1] Engagement de l’offre : 99 % recyclage matière, 1 % élimination.</t>
  </si>
  <si>
    <t xml:space="preserve">Matière par objet de couture (g de blouses)</t>
  </si>
  <si>
    <t xml:space="preserve">Non sourcé : à confirmer avec l’ESAT de Vence (mesure atelier).</t>
  </si>
  <si>
    <t xml:space="preserve">Matière par fourniture scolaire (g)</t>
  </si>
  <si>
    <t xml:space="preserve">Non sourcé : à confirmer avec l’usine partenaire.</t>
  </si>
  <si>
    <t xml:space="preserve">Objets par bénéficiaire</t>
  </si>
  <si>
    <t xml:space="preserve">Non sourcé : hypothèse de travail, à ajuster avec les partenaires.</t>
  </si>
  <si>
    <t xml:space="preserve">Part des objets remis aux partenaires de distribution</t>
  </si>
  <si>
    <t xml:space="preserve">Non sourcé : le reste est utilisé dans nos ateliers (dont ateliers labellisés ADEME).</t>
  </si>
  <si>
    <t xml:space="preserve">Facteur d’émission évitée (kg CO₂e par kg valorisé)</t>
  </si>
  <si>
    <t xml:space="preserve">[S4] À RENSEIGNER depuis la Base Empreinte® ADEME (facteur matière vierge moins facteur matière recyclée, scénario de référence justifié). Vide : aucun chiffre inventé.</t>
  </si>
  <si>
    <t xml:space="preserve">B   VOS VOLUMES MENSUELS D’EPI</t>
  </si>
  <si>
    <t xml:space="preserve">Catégorie d’EPI</t>
  </si>
  <si>
    <t xml:space="preserve">Unités par mois</t>
  </si>
  <si>
    <t xml:space="preserve">Poids unitaire moyen (g)</t>
  </si>
  <si>
    <t xml:space="preserve">Poids par mois (kg)</t>
  </si>
  <si>
    <t xml:space="preserve">Orientation</t>
  </si>
  <si>
    <t xml:space="preserve">Charlottes</t>
  </si>
  <si>
    <t xml:space="preserve">Recyclage matière : kits de géométrie, fournitures scolaires</t>
  </si>
  <si>
    <t xml:space="preserve">Cache-barbes</t>
  </si>
  <si>
    <t xml:space="preserve">Blouses</t>
  </si>
  <si>
    <t xml:space="preserve">Objets de couture (ESAT de Vence)</t>
  </si>
  <si>
    <t xml:space="preserve">Couvre-chaussures</t>
  </si>
  <si>
    <t xml:space="preserve">Masques</t>
  </si>
  <si>
    <t xml:space="preserve">Recyclage matière</t>
  </si>
  <si>
    <t xml:space="preserve">Autres (à préciser)</t>
  </si>
  <si>
    <t xml:space="preserve">À préciser</t>
  </si>
  <si>
    <t xml:space="preserve">TOTAL</t>
  </si>
  <si>
    <t xml:space="preserve">Volumes et poids unitaires fictifs : à remplacer par vos relevés de pesée.</t>
  </si>
  <si>
    <t xml:space="preserve">C   VOS CHARIOTS</t>
  </si>
  <si>
    <t xml:space="preserve">Indicateur</t>
  </si>
  <si>
    <t xml:space="preserve">Lecture</t>
  </si>
  <si>
    <t xml:space="preserve">Chariots de 500 L à enlever par mois (selon le poids)</t>
  </si>
  <si>
    <t xml:space="preserve">Poids collecté ÷ poids moyen d’un chariot plein.</t>
  </si>
  <si>
    <t xml:space="preserve">Chariots que vous mettez à disposition par mois</t>
  </si>
  <si>
    <t xml:space="preserve">Sites × chariots × collectes par semaine × semaines par mois.</t>
  </si>
  <si>
    <t xml:space="preserve">Taux de remplissage de vos chariots</t>
  </si>
  <si>
    <t xml:space="preserve">Au-dessus de 100 % : augmenter la fréquence ou le nombre de chariots.</t>
  </si>
  <si>
    <t xml:space="preserve">Cadence de tri et de découpe (kg par heure et par agent)</t>
  </si>
  <si>
    <t xml:space="preserve">Non sourcé : valeur d’exemple, mesurée par Upcycle Academy lors de la visite technique.</t>
  </si>
  <si>
    <t xml:space="preserve">Heures par ETP et par mois</t>
  </si>
  <si>
    <t xml:space="preserve">Calcul : 35 h par semaine, moyenne 52 ÷ 12.</t>
  </si>
  <si>
    <t xml:space="preserve">Heures de tri et de découpe liées à vos EPI par mois</t>
  </si>
  <si>
    <t xml:space="preserve">Poids collecté ÷ cadence.</t>
  </si>
  <si>
    <t xml:space="preserve">D   VOTRE IMPACT ENVIRONNEMENTAL</t>
  </si>
  <si>
    <t xml:space="preserve">Par mois</t>
  </si>
  <si>
    <t xml:space="preserve">Sur la durée du pilote</t>
  </si>
  <si>
    <t xml:space="preserve">Poids collecté (kg)</t>
  </si>
  <si>
    <t xml:space="preserve">Matière recyclée (kg)</t>
  </si>
  <si>
    <t xml:space="preserve">Fraction non recyclée, éliminée (kg)</t>
  </si>
  <si>
    <t xml:space="preserve">Objets de couture (tote-bags, sacs bourse, trousses, kits à lacer)</t>
  </si>
  <si>
    <t xml:space="preserve">Issus des blouses.</t>
  </si>
  <si>
    <t xml:space="preserve">Fournitures scolaires</t>
  </si>
  <si>
    <t xml:space="preserve">Issues des autres EPI.</t>
  </si>
  <si>
    <t xml:space="preserve">Objets réalisés</t>
  </si>
  <si>
    <t xml:space="preserve">Objets remis aux partenaires de distribution</t>
  </si>
  <si>
    <t xml:space="preserve">Objets utilisés dans nos ateliers</t>
  </si>
  <si>
    <t xml:space="preserve">Ateliers Upcycle Academy, dont ateliers labellisés ADEME (Semaine européenne de la réduction des déchets).</t>
  </si>
  <si>
    <t xml:space="preserve">Bénéficiaires</t>
  </si>
  <si>
    <t xml:space="preserve">Locataires, clients et publics des partenaires de distribution.</t>
  </si>
  <si>
    <t xml:space="preserve">CO₂e évités (kg CO₂e)</t>
  </si>
  <si>
    <t xml:space="preserve">Affiché uniquement si le facteur d’émission est renseigné.</t>
  </si>
  <si>
    <t xml:space="preserve">E   VOTRE IMPACT SOCIAL : HEURES DE TRAVAIL INCLUSIF</t>
  </si>
  <si>
    <t xml:space="preserve">Heures de fabrication par objet de couture (h)</t>
  </si>
  <si>
    <t xml:space="preserve">Non sourcé : à confirmer avec l’ESAT de Vence.</t>
  </si>
  <si>
    <t xml:space="preserve">Part des heures de tri et de découpe en travail inclusif</t>
  </si>
  <si>
    <t xml:space="preserve">Non sourcé : à renseigner selon le statut des postes de l’atelier.</t>
  </si>
  <si>
    <t xml:space="preserve">Heures de fabrication des objets (ESAT de Vence)</t>
  </si>
  <si>
    <t xml:space="preserve">Heures inclusives de tri et de découpe (atelier)</t>
  </si>
  <si>
    <t xml:space="preserve">HEURES DE TRAVAIL INCLUSIF CRÉÉES</t>
  </si>
  <si>
    <t xml:space="preserve">Indicateur central du simulateur.</t>
  </si>
  <si>
    <t xml:space="preserve">Équivalent temps plein inclusif (ETP)</t>
  </si>
  <si>
    <t xml:space="preserve">Heures inclusives mensuelles ÷ heures par ETP et par mois.</t>
  </si>
  <si>
    <t xml:space="preserve">Heures inclusives par tonne collectée</t>
  </si>
  <si>
    <t xml:space="preserve">F   VOTRE RETOUR SUR INVESTISSEMENT</t>
  </si>
  <si>
    <t xml:space="preserve">Votre coût actuel d’élimination (€ HT par tonne)</t>
  </si>
  <si>
    <t xml:space="preserve">Votre donnée : coût facturé par votre prestataire, TGAP et transport inclus (voir vos factures). Aucun prix n’est supposé [S3].</t>
  </si>
  <si>
    <t xml:space="preserve">Autres frais mensuels actuels liés à ces déchets (€ HT par mois)</t>
  </si>
  <si>
    <t xml:space="preserve">Votre donnée : location de bennes, redevances fixes, etc. Laisser vide si inclus ci-dessus.</t>
  </si>
  <si>
    <t xml:space="preserve">Investissement initial à votre charge (€ HT)</t>
  </si>
  <si>
    <t xml:space="preserve">[S1] Chariots fournis sur site et inclus dans le tarif : aucun investissement matériel. À confirmer dans la convention.</t>
  </si>
  <si>
    <t xml:space="preserve">Contenants mis en place (sites × chariots)</t>
  </si>
  <si>
    <t xml:space="preserve">Tarif confirmé dans votre convention, si différent (€ HT par contenant)</t>
  </si>
  <si>
    <t xml:space="preserve">Facultatif : par exemple 140 € si le palier de 16 sites du pilote est atteint [S1].</t>
  </si>
  <si>
    <t xml:space="preserve">Tarif appliqué par contenant de 500 L (€ HT)</t>
  </si>
  <si>
    <t xml:space="preserve">[S1] Grille selon vos contenants : 1 : 157,25 € ; 2 à 5 : 153,12 € ; 6 à 10 : 152,06 € ; plus de 10 : 149,00 €. Contenant, collecte, transport et traitement inclus.</t>
  </si>
  <si>
    <t xml:space="preserve">Coût mensuel du service Upcycle Academy (€ HT)</t>
  </si>
  <si>
    <t xml:space="preserve">Chariots à enlever par mois (section C) × tarif.</t>
  </si>
  <si>
    <t xml:space="preserve">Votre coût mensuel actuel (€ HT)</t>
  </si>
  <si>
    <t xml:space="preserve">Poids collecté (section B) × votre coût à la tonne + frais fixes.</t>
  </si>
  <si>
    <t xml:space="preserve">Économie mensuelle (€ HT), négatif = surcoût</t>
  </si>
  <si>
    <t xml:space="preserve">Économie annuelle (€ HT)</t>
  </si>
  <si>
    <t xml:space="preserve">Retour sur investissement annuel (économie ÷ coût du service)</t>
  </si>
  <si>
    <t xml:space="preserve">Si l’investissement est nul, le retour est immédiat : il se lit directement dans l’économie.</t>
  </si>
  <si>
    <t xml:space="preserve">Délai de retour sur investissement</t>
  </si>
  <si>
    <t xml:space="preserve">Coût net annuel par kg détourné de l’élimination (€ HT)</t>
  </si>
  <si>
    <t xml:space="preserve">Surcoût annuel ÷ kg recyclés par an : mesure le prix de l’impact. 0 si le service est économe.</t>
  </si>
  <si>
    <t xml:space="preserve">Coût net annuel par heure de travail inclusif créée (€ HT)</t>
  </si>
  <si>
    <t xml:space="preserve">Surcoût annuel ÷ heures inclusives créées par an.</t>
  </si>
  <si>
    <t xml:space="preserve">OPTION : montant éventuel d’un don ouvrant droit au mécénat (€ HT)</t>
  </si>
  <si>
    <t xml:space="preserve">Facultatif, accessoire. Laisser vide si non concerné.</t>
  </si>
  <si>
    <t xml:space="preserve">OPTION : votre chiffre d’affaires HT annuel (€)</t>
  </si>
  <si>
    <t xml:space="preserve">Facultatif : sert uniquement au plafond du mécénat.</t>
  </si>
  <si>
    <t xml:space="preserve">OPTION : réduction d’impôt mécénat estimée (€)</t>
  </si>
  <si>
    <t xml:space="preserve">[S2] 60 % du don, dans la limite de 20 000 € ou 5 ‰ du CA HT (le plus élevé). À valider avec votre expert-comptable.</t>
  </si>
  <si>
    <t xml:space="preserve">Estimation indicative fondée sur vos données et sur les sources de l’onglet « Sources ». Les données non sourcées sont signalées comme telles et doivent être remplacées par des mesures réelles.</t>
  </si>
  <si>
    <t xml:space="preserve">SOURCES ET MODE D’EMPLOI</t>
  </si>
  <si>
    <t xml:space="preserve">Réf.</t>
  </si>
  <si>
    <t xml:space="preserve">Source</t>
  </si>
  <si>
    <t xml:space="preserve">Donnée utilisée</t>
  </si>
  <si>
    <t xml:space="preserve">Lien ou réf. à consulter</t>
  </si>
  <si>
    <t xml:space="preserve">S1</t>
  </si>
  <si>
    <t xml:space="preserve">Offre Upcycle Academy : convention pilote (modèle) et fiche d’offre</t>
  </si>
  <si>
    <t xml:space="preserve">Tarif par chariot de 500 L et dégressivité, 1 à 3 collectes par semaine, chariots fournis, 99 % de recyclage matière, durée du pilote.</t>
  </si>
  <si>
    <t xml:space="preserve">Documents « Convention pilote » et « Fiche offre pilote » de ce dossier ; chiffres contractuels, à confirmer à la signature.</t>
  </si>
  <si>
    <t xml:space="preserve">S2</t>
  </si>
  <si>
    <t xml:space="preserve">Administration fiscale : formulaire 2069-M-FC-SD (aide au calcul de la réduction d’impôt mécénat, art. 238 bis du CGI)</t>
  </si>
  <si>
    <t xml:space="preserve">60 % de réduction ; plafond de 20 000 € ou 5 ‰ du chiffre d’affaires, le plus élevé ; excédent reportable ; déclaration des contreparties au-delà de 10 000 € de dons.</t>
  </si>
  <si>
    <t xml:space="preserve">https://www.impots.gouv.fr (formulaire 2069-M-FC-SD, millésime 2026). Reçu fiscal délivré par la structure bénéficiaire.</t>
  </si>
  <si>
    <t xml:space="preserve">S3</t>
  </si>
  <si>
    <t xml:space="preserve">Douane : taux de la TGAP ; FEDEREC / RYDGE Conseil : indice de variation des coûts d’incinération des déchets non dangereux</t>
  </si>
  <si>
    <t xml:space="preserve">Aucun prix de référence n’est repris : la douane ne publie sur cette page que les taux 2020, et l’indice FEDEREC donne des variations (€/t hors TGAP et transport), pas un niveau de prix. Votre coût réel se lit donc sur vos factures.</t>
  </si>
  <si>
    <t xml:space="preserve">https://www.douane.gouv.fr/fiche/taux-de-la-taxe-generale-sur-les-activites-polluantes-tgap ; FEDEREC, indice Q3050 incinération, janvier 2026</t>
  </si>
  <si>
    <t xml:space="preserve">S4</t>
  </si>
  <si>
    <t xml:space="preserve">ADEME : Base Empreinte® et méthode des émissions évitées</t>
  </si>
  <si>
    <t xml:space="preserve">Facteurs d’émission matière vierge et matière recyclée, à renseigner par vos soins ; l’évitement est une contribution distincte du bilan d’émissions de l’entreprise.</t>
  </si>
  <si>
    <t xml:space="preserve">https://base-empreinte.ademe.fr</t>
  </si>
  <si>
    <t xml:space="preserve">S5</t>
  </si>
  <si>
    <t xml:space="preserve">ADEME : indicateurs d’impact retenus pour le reporting</t>
  </si>
  <si>
    <t xml:space="preserve">Matière recyclée, objets réalisés, bénéficiaires et heures de travail inclusif, communiqués chaque trimestre.</t>
  </si>
  <si>
    <t xml:space="preserve">Maquette de rapport trimestriel de ce dossier</t>
  </si>
  <si>
    <t xml:space="preserve">Mode d’emploi</t>
  </si>
  <si>
    <t xml:space="preserve">1. Onglet « Simulateur » : remplacer les valeurs d’exemple fictives des cases blanches par vos données (vos sites, volumes, poids). 2. Section G : saisir votre coût actuel d’élimination, lu sur vos factures. 3. Lire en haut de page votre estimation de retour sur investissement.</t>
  </si>
  <si>
    <t xml:space="preserve">Définition du retour sur investissement</t>
  </si>
  <si>
    <t xml:space="preserve">Économie = (votre coût actuel − coût du service Upcycle Academy). Retour annuel = économie annuelle ÷ coût annuel du service. L’investissement initial est nul si les chariots sont fournis, ce qui donne un retour immédiat.</t>
  </si>
  <si>
    <t xml:space="preserve">Données non sourcées</t>
  </si>
  <si>
    <t xml:space="preserve">Poids d’un chariot, poids unitaire des EPI, cadence de tri, matière par objet, heures par kit, part inclusive, objets par bénéficiaire, part distribuée : valeurs d’exemple à remplacer par des mesures (visite technique, premières collectes). Elles n’influencent pas votre économie financière, qui repose sur vos factures et le tarif de l’offre ; seul le nombre de chariots à enlever dépend du poids saisi.</t>
  </si>
  <si>
    <t xml:space="preserve">Données volontairement vides</t>
  </si>
  <si>
    <t xml:space="preserve">Votre coût actuel et le facteur d’émission ADEME : aucune valeur n’est supposée, les résultats correspondants restent vides.</t>
  </si>
  <si>
    <t xml:space="preserve">Limites</t>
  </si>
  <si>
    <t xml:space="preserve">Ordre de grandeur pour décider ; ne remplace ni le rapport d’impact mensuel, communiqué chaque trimestre, ni un avis comptable ou fiscal.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</si>
</sst>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0.00"/>
    <numFmt numFmtId="167" formatCode="0.0"/>
    <numFmt numFmtId="168" formatCode="0%"/>
    <numFmt numFmtId="169" formatCode="#,##0"/>
    <numFmt numFmtId="170" formatCode="#,##0.0"/>
    <numFmt numFmtId="171" formatCode="0.00&quot; €&quot;"/>
    <numFmt numFmtId="172" formatCode="#,##0.00&quot; €&quot;"/>
    <numFmt numFmtId="173" formatCode="#,##0&quot; €&quot;"/>
    <numFmt numFmtId="174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232438"/>
      <name val="Arial"/>
      <family val="0"/>
      <charset val="1"/>
    </font>
    <font>
      <b val="true"/>
      <sz val="20"/>
      <color rgb="FFE8F55A"/>
      <name val="Arial"/>
      <family val="0"/>
      <charset val="1"/>
    </font>
    <font>
      <sz val="11"/>
      <color rgb="FFF6EDC8"/>
      <name val="Arial"/>
      <family val="0"/>
      <charset val="1"/>
    </font>
    <font>
      <i val="true"/>
      <sz val="9"/>
      <color rgb="FF6C8545"/>
      <name val="Arial"/>
      <family val="0"/>
      <charset val="1"/>
    </font>
    <font>
      <b val="true"/>
      <sz val="11"/>
      <color rgb="FF1B5B3F"/>
      <name val="Arial"/>
      <family val="0"/>
      <charset val="1"/>
    </font>
    <font>
      <b val="true"/>
      <sz val="11"/>
      <color rgb="FFE8F55A"/>
      <name val="Arial"/>
      <family val="0"/>
      <charset val="1"/>
    </font>
    <font>
      <b val="true"/>
      <sz val="9"/>
      <color rgb="FF1B5B3F"/>
      <name val="Arial"/>
      <family val="0"/>
      <charset val="1"/>
    </font>
    <font>
      <b val="true"/>
      <sz val="10"/>
      <color rgb="FF1B5B3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6"/>
      <color rgb="FFE8F55A"/>
      <name val="Arial"/>
      <family val="0"/>
      <charset val="1"/>
    </font>
    <font>
      <sz val="9"/>
      <color rgb="FF232438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E3F1FA"/>
      </patternFill>
    </fill>
    <fill>
      <patternFill patternType="solid">
        <fgColor rgb="FF1B5B3F"/>
        <bgColor rgb="FF008000"/>
      </patternFill>
    </fill>
    <fill>
      <patternFill patternType="solid">
        <fgColor rgb="FFF0F9B5"/>
        <bgColor rgb="FFFCF8C4"/>
      </patternFill>
    </fill>
    <fill>
      <patternFill patternType="solid">
        <fgColor rgb="FFE2F2E1"/>
        <bgColor rgb="FFE3F1FA"/>
      </patternFill>
    </fill>
    <fill>
      <patternFill patternType="solid">
        <fgColor rgb="FFFCF8C4"/>
        <bgColor rgb="FFF0F9B5"/>
      </patternFill>
    </fill>
    <fill>
      <patternFill patternType="solid">
        <fgColor rgb="FFE3F1FA"/>
        <bgColor rgb="FFE2F2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C7B9"/>
      </left>
      <right/>
      <top style="thin">
        <color rgb="FFB9C7B9"/>
      </top>
      <bottom style="thin">
        <color rgb="FFB9C7B9"/>
      </bottom>
      <diagonal/>
    </border>
    <border diagonalUp="false" diagonalDown="false">
      <left style="thin">
        <color rgb="FFB9C7B9"/>
      </left>
      <right style="thin">
        <color rgb="FFB9C7B9"/>
      </right>
      <top style="thin">
        <color rgb="FFB9C7B9"/>
      </top>
      <bottom style="thin">
        <color rgb="FFB9C7B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6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0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7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1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2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E8F55A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7B9"/>
      <rgbColor rgb="FF6C8545"/>
      <rgbColor rgb="FF9999FF"/>
      <rgbColor rgb="FF993366"/>
      <rgbColor rgb="FFFCF8C4"/>
      <rgbColor rgb="FFE3F1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2E1"/>
      <rgbColor rgb="FFF0F9B5"/>
      <rgbColor rgb="FF99CCFF"/>
      <rgbColor rgb="FFFF99CC"/>
      <rgbColor rgb="FFCC99FF"/>
      <rgbColor rgb="FFF6EDC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5B3F"/>
      <rgbColor rgb="FF339966"/>
      <rgbColor rgb="FF003300"/>
      <rgbColor rgb="FF333300"/>
      <rgbColor rgb="FF993300"/>
      <rgbColor rgb="FF993366"/>
      <rgbColor rgb="FF333399"/>
      <rgbColor rgb="FF2324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2</xdr:row>
      <xdr:rowOff>66600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9992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62"/>
  </cols>
  <sheetData>
    <row r="1" customFormat="false" ht="33.75" hidden="false" customHeight="true" outlineLevel="0" collapsed="false">
      <c r="A1" s="1"/>
      <c r="B1" s="2" t="s">
        <v>0</v>
      </c>
      <c r="C1" s="2"/>
      <c r="D1" s="2"/>
      <c r="E1" s="2"/>
    </row>
    <row r="2" customFormat="false" ht="24" hidden="false" customHeight="true" outlineLevel="0" collapsed="false">
      <c r="A2" s="1"/>
      <c r="B2" s="3" t="s">
        <v>1</v>
      </c>
      <c r="C2" s="3"/>
      <c r="D2" s="3"/>
      <c r="E2" s="3"/>
    </row>
    <row r="3" customFormat="false" ht="7.5" hidden="false" customHeight="true" outlineLevel="0" collapsed="false">
      <c r="A3" s="1"/>
      <c r="B3" s="4"/>
      <c r="C3" s="4"/>
      <c r="D3" s="4"/>
      <c r="E3" s="4"/>
    </row>
    <row r="4" customFormat="false" ht="25.5" hidden="false" customHeight="true" outlineLevel="0" collapsed="false">
      <c r="A4" s="5" t="s">
        <v>2</v>
      </c>
      <c r="B4" s="5"/>
      <c r="C4" s="5"/>
      <c r="D4" s="5"/>
      <c r="E4" s="5"/>
    </row>
    <row r="5" customFormat="false" ht="39.75" hidden="false" customHeight="true" outlineLevel="0" collapsed="false">
      <c r="A5" s="6" t="str">
        <f aca="false">IF(B74="","Renseignez votre coût actuel d’élimination (section F) pour obtenir votre retour sur investissement.",IF(B75&gt;=0,"Votre estimation : "&amp;TEXT(B75,"#,##0")&amp;" € HT d’économie par an (retour de "&amp;TEXT(B76,"0%")&amp;")","Votre estimation : surcoût net de "&amp;TEXT(-B75,"#,##0")&amp;" € HT par an par rapport à votre élimination actuelle, en contrepartie de ")&amp;IF(B75&gt;=0," avec ","")&amp;TEXT(B43*12/1000,"#,##0.0")&amp;" t recyclées et "&amp;TEXT(B60*12,"#,##0")&amp;" h de travail inclusif par an.")</f>
        <v>Renseignez votre coût actuel d’élimination (section F) pour obtenir votre retour sur investissement.</v>
      </c>
      <c r="B5" s="6"/>
      <c r="C5" s="6"/>
      <c r="D5" s="6"/>
      <c r="E5" s="6"/>
    </row>
    <row r="6" customFormat="false" ht="24" hidden="false" customHeight="true" outlineLevel="0" collapsed="false">
      <c r="A6" s="7" t="s">
        <v>3</v>
      </c>
      <c r="B6" s="7"/>
      <c r="C6" s="7"/>
      <c r="D6" s="7"/>
      <c r="E6" s="7"/>
    </row>
    <row r="7" customFormat="false" ht="25.5" hidden="false" customHeight="true" outlineLevel="0" collapsed="false">
      <c r="A7" s="8" t="s">
        <v>4</v>
      </c>
      <c r="B7" s="8" t="s">
        <v>5</v>
      </c>
      <c r="C7" s="8"/>
      <c r="D7" s="8"/>
      <c r="E7" s="8" t="s">
        <v>6</v>
      </c>
    </row>
    <row r="8" customFormat="false" ht="21.75" hidden="false" customHeight="true" outlineLevel="0" collapsed="false">
      <c r="A8" s="9" t="s">
        <v>7</v>
      </c>
      <c r="B8" s="10" t="n">
        <v>1</v>
      </c>
      <c r="C8" s="11"/>
      <c r="D8" s="11"/>
      <c r="E8" s="12" t="s">
        <v>8</v>
      </c>
    </row>
    <row r="9" customFormat="false" ht="21.75" hidden="false" customHeight="true" outlineLevel="0" collapsed="false">
      <c r="A9" s="9" t="s">
        <v>9</v>
      </c>
      <c r="B9" s="10" t="n">
        <v>1</v>
      </c>
      <c r="C9" s="11"/>
      <c r="D9" s="11"/>
      <c r="E9" s="12" t="s">
        <v>10</v>
      </c>
    </row>
    <row r="10" customFormat="false" ht="21.75" hidden="false" customHeight="true" outlineLevel="0" collapsed="false">
      <c r="A10" s="9" t="s">
        <v>11</v>
      </c>
      <c r="B10" s="10" t="n">
        <v>2</v>
      </c>
      <c r="C10" s="11"/>
      <c r="D10" s="11"/>
      <c r="E10" s="12" t="s">
        <v>12</v>
      </c>
    </row>
    <row r="11" customFormat="false" ht="21.75" hidden="false" customHeight="true" outlineLevel="0" collapsed="false">
      <c r="A11" s="9" t="s">
        <v>13</v>
      </c>
      <c r="B11" s="13" t="n">
        <v>4.33</v>
      </c>
      <c r="C11" s="11"/>
      <c r="D11" s="11"/>
      <c r="E11" s="12" t="s">
        <v>14</v>
      </c>
    </row>
    <row r="12" customFormat="false" ht="21.75" hidden="false" customHeight="true" outlineLevel="0" collapsed="false">
      <c r="A12" s="9" t="s">
        <v>15</v>
      </c>
      <c r="B12" s="10" t="n">
        <v>12</v>
      </c>
      <c r="C12" s="11"/>
      <c r="D12" s="11"/>
      <c r="E12" s="12" t="s">
        <v>16</v>
      </c>
    </row>
    <row r="13" customFormat="false" ht="21.75" hidden="false" customHeight="true" outlineLevel="0" collapsed="false">
      <c r="A13" s="9" t="s">
        <v>17</v>
      </c>
      <c r="B13" s="14" t="n">
        <v>30</v>
      </c>
      <c r="C13" s="11"/>
      <c r="D13" s="11"/>
      <c r="E13" s="12" t="s">
        <v>18</v>
      </c>
    </row>
    <row r="14" customFormat="false" ht="21.75" hidden="false" customHeight="true" outlineLevel="0" collapsed="false">
      <c r="A14" s="9" t="s">
        <v>19</v>
      </c>
      <c r="B14" s="15" t="n">
        <v>0.99</v>
      </c>
      <c r="C14" s="11"/>
      <c r="D14" s="11"/>
      <c r="E14" s="12" t="s">
        <v>20</v>
      </c>
    </row>
    <row r="15" customFormat="false" ht="21.75" hidden="false" customHeight="true" outlineLevel="0" collapsed="false">
      <c r="A15" s="9" t="s">
        <v>21</v>
      </c>
      <c r="B15" s="10" t="n">
        <v>500</v>
      </c>
      <c r="C15" s="11"/>
      <c r="D15" s="11"/>
      <c r="E15" s="12" t="s">
        <v>22</v>
      </c>
    </row>
    <row r="16" customFormat="false" ht="21.75" hidden="false" customHeight="true" outlineLevel="0" collapsed="false">
      <c r="A16" s="9" t="s">
        <v>23</v>
      </c>
      <c r="B16" s="10" t="n">
        <v>150</v>
      </c>
      <c r="C16" s="11"/>
      <c r="D16" s="11"/>
      <c r="E16" s="12" t="s">
        <v>24</v>
      </c>
    </row>
    <row r="17" customFormat="false" ht="21.75" hidden="false" customHeight="true" outlineLevel="0" collapsed="false">
      <c r="A17" s="9" t="s">
        <v>25</v>
      </c>
      <c r="B17" s="14" t="n">
        <v>2</v>
      </c>
      <c r="C17" s="11"/>
      <c r="D17" s="11"/>
      <c r="E17" s="12" t="s">
        <v>26</v>
      </c>
    </row>
    <row r="18" customFormat="false" ht="31.5" hidden="false" customHeight="true" outlineLevel="0" collapsed="false">
      <c r="A18" s="9" t="s">
        <v>27</v>
      </c>
      <c r="B18" s="15" t="n">
        <v>0.8</v>
      </c>
      <c r="C18" s="11"/>
      <c r="D18" s="11"/>
      <c r="E18" s="12" t="s">
        <v>28</v>
      </c>
    </row>
    <row r="19" customFormat="false" ht="31.5" hidden="false" customHeight="true" outlineLevel="0" collapsed="false">
      <c r="A19" s="9" t="s">
        <v>29</v>
      </c>
      <c r="B19" s="13"/>
      <c r="C19" s="11"/>
      <c r="D19" s="11"/>
      <c r="E19" s="12" t="s">
        <v>30</v>
      </c>
    </row>
    <row r="21" customFormat="false" ht="24" hidden="false" customHeight="true" outlineLevel="0" collapsed="false">
      <c r="A21" s="7" t="s">
        <v>31</v>
      </c>
      <c r="B21" s="7"/>
      <c r="C21" s="7"/>
      <c r="D21" s="7"/>
      <c r="E21" s="7"/>
    </row>
    <row r="22" customFormat="false" ht="25.5" hidden="false" customHeight="true" outlineLevel="0" collapsed="false">
      <c r="A22" s="8" t="s">
        <v>32</v>
      </c>
      <c r="B22" s="8" t="s">
        <v>33</v>
      </c>
      <c r="C22" s="8" t="s">
        <v>34</v>
      </c>
      <c r="D22" s="8" t="s">
        <v>35</v>
      </c>
      <c r="E22" s="8" t="s">
        <v>36</v>
      </c>
    </row>
    <row r="23" customFormat="false" ht="21.75" hidden="false" customHeight="true" outlineLevel="0" collapsed="false">
      <c r="A23" s="9" t="s">
        <v>37</v>
      </c>
      <c r="B23" s="16" t="n">
        <v>5000</v>
      </c>
      <c r="C23" s="14" t="n">
        <v>10</v>
      </c>
      <c r="D23" s="17" t="n">
        <f aca="false">B23*C23/1000</f>
        <v>50</v>
      </c>
      <c r="E23" s="12" t="s">
        <v>38</v>
      </c>
    </row>
    <row r="24" customFormat="false" ht="21.75" hidden="false" customHeight="true" outlineLevel="0" collapsed="false">
      <c r="A24" s="9" t="s">
        <v>39</v>
      </c>
      <c r="B24" s="16" t="n">
        <v>2000</v>
      </c>
      <c r="C24" s="14" t="n">
        <v>12</v>
      </c>
      <c r="D24" s="17" t="n">
        <f aca="false">B24*C24/1000</f>
        <v>24</v>
      </c>
      <c r="E24" s="12" t="s">
        <v>38</v>
      </c>
    </row>
    <row r="25" customFormat="false" ht="21.75" hidden="false" customHeight="true" outlineLevel="0" collapsed="false">
      <c r="A25" s="9" t="s">
        <v>40</v>
      </c>
      <c r="B25" s="16" t="n">
        <v>300</v>
      </c>
      <c r="C25" s="14" t="n">
        <v>70</v>
      </c>
      <c r="D25" s="17" t="n">
        <f aca="false">B25*C25/1000</f>
        <v>21</v>
      </c>
      <c r="E25" s="12" t="s">
        <v>41</v>
      </c>
    </row>
    <row r="26" customFormat="false" ht="21.75" hidden="false" customHeight="true" outlineLevel="0" collapsed="false">
      <c r="A26" s="9" t="s">
        <v>42</v>
      </c>
      <c r="B26" s="16" t="n">
        <v>1500</v>
      </c>
      <c r="C26" s="14" t="n">
        <v>30</v>
      </c>
      <c r="D26" s="17" t="n">
        <f aca="false">B26*C26/1000</f>
        <v>45</v>
      </c>
      <c r="E26" s="12" t="s">
        <v>38</v>
      </c>
    </row>
    <row r="27" customFormat="false" ht="21.75" hidden="false" customHeight="true" outlineLevel="0" collapsed="false">
      <c r="A27" s="9" t="s">
        <v>43</v>
      </c>
      <c r="B27" s="16" t="n">
        <v>5000</v>
      </c>
      <c r="C27" s="14" t="n">
        <v>5</v>
      </c>
      <c r="D27" s="17" t="n">
        <f aca="false">B27*C27/1000</f>
        <v>25</v>
      </c>
      <c r="E27" s="12" t="s">
        <v>44</v>
      </c>
    </row>
    <row r="28" customFormat="false" ht="21.75" hidden="false" customHeight="true" outlineLevel="0" collapsed="false">
      <c r="A28" s="9" t="s">
        <v>45</v>
      </c>
      <c r="B28" s="16" t="n">
        <v>0</v>
      </c>
      <c r="C28" s="14" t="n">
        <v>0</v>
      </c>
      <c r="D28" s="17" t="n">
        <f aca="false">B28*C28/1000</f>
        <v>0</v>
      </c>
      <c r="E28" s="12" t="s">
        <v>46</v>
      </c>
    </row>
    <row r="29" customFormat="false" ht="24" hidden="false" customHeight="true" outlineLevel="0" collapsed="false">
      <c r="A29" s="18" t="s">
        <v>47</v>
      </c>
      <c r="B29" s="19" t="n">
        <f aca="false">SUM(B23:B28)</f>
        <v>13800</v>
      </c>
      <c r="C29" s="20"/>
      <c r="D29" s="21" t="n">
        <f aca="false">SUM(D23:D28)</f>
        <v>165</v>
      </c>
      <c r="E29" s="12" t="s">
        <v>48</v>
      </c>
    </row>
    <row r="31" customFormat="false" ht="24" hidden="false" customHeight="true" outlineLevel="0" collapsed="false">
      <c r="A31" s="7" t="s">
        <v>49</v>
      </c>
      <c r="B31" s="7"/>
      <c r="C31" s="7"/>
      <c r="D31" s="7"/>
      <c r="E31" s="7"/>
    </row>
    <row r="32" customFormat="false" ht="25.5" hidden="false" customHeight="true" outlineLevel="0" collapsed="false">
      <c r="A32" s="8" t="s">
        <v>50</v>
      </c>
      <c r="B32" s="8" t="s">
        <v>5</v>
      </c>
      <c r="C32" s="8"/>
      <c r="D32" s="8"/>
      <c r="E32" s="8" t="s">
        <v>51</v>
      </c>
    </row>
    <row r="33" customFormat="false" ht="24" hidden="false" customHeight="true" outlineLevel="0" collapsed="false">
      <c r="A33" s="9" t="s">
        <v>52</v>
      </c>
      <c r="B33" s="22" t="n">
        <f aca="false">IF(B13&gt;0,ROUNDUP(D29/B13,0),"")</f>
        <v>6</v>
      </c>
      <c r="C33" s="11"/>
      <c r="D33" s="11"/>
      <c r="E33" s="12" t="s">
        <v>53</v>
      </c>
    </row>
    <row r="34" customFormat="false" ht="24" hidden="false" customHeight="true" outlineLevel="0" collapsed="false">
      <c r="A34" s="9" t="s">
        <v>54</v>
      </c>
      <c r="B34" s="22" t="n">
        <f aca="false">B8*B9*B10*B11</f>
        <v>8.66</v>
      </c>
      <c r="C34" s="11"/>
      <c r="D34" s="11"/>
      <c r="E34" s="12" t="s">
        <v>55</v>
      </c>
    </row>
    <row r="35" customFormat="false" ht="24" hidden="false" customHeight="true" outlineLevel="0" collapsed="false">
      <c r="A35" s="9" t="s">
        <v>56</v>
      </c>
      <c r="B35" s="23" t="n">
        <f aca="false">IF(OR(B34=0,B33=""),"",B33/B34)</f>
        <v>0.69284064665127</v>
      </c>
      <c r="C35" s="11"/>
      <c r="D35" s="11"/>
      <c r="E35" s="12" t="s">
        <v>57</v>
      </c>
    </row>
    <row r="36" customFormat="false" ht="31.5" hidden="false" customHeight="true" outlineLevel="0" collapsed="false">
      <c r="A36" s="9" t="s">
        <v>58</v>
      </c>
      <c r="B36" s="14" t="n">
        <v>20</v>
      </c>
      <c r="C36" s="11"/>
      <c r="D36" s="11"/>
      <c r="E36" s="12" t="s">
        <v>59</v>
      </c>
    </row>
    <row r="37" customFormat="false" ht="21.75" hidden="false" customHeight="true" outlineLevel="0" collapsed="false">
      <c r="A37" s="9" t="s">
        <v>60</v>
      </c>
      <c r="B37" s="13" t="n">
        <v>151.67</v>
      </c>
      <c r="C37" s="11"/>
      <c r="D37" s="11"/>
      <c r="E37" s="12" t="s">
        <v>61</v>
      </c>
    </row>
    <row r="38" customFormat="false" ht="24" hidden="false" customHeight="true" outlineLevel="0" collapsed="false">
      <c r="A38" s="9" t="s">
        <v>62</v>
      </c>
      <c r="B38" s="22" t="n">
        <f aca="false">IF(B36&gt;0,D29/B36,"")</f>
        <v>8.25</v>
      </c>
      <c r="C38" s="11"/>
      <c r="D38" s="11"/>
      <c r="E38" s="12" t="s">
        <v>63</v>
      </c>
    </row>
    <row r="40" customFormat="false" ht="24" hidden="false" customHeight="true" outlineLevel="0" collapsed="false">
      <c r="A40" s="7" t="s">
        <v>64</v>
      </c>
      <c r="B40" s="7"/>
      <c r="C40" s="7"/>
      <c r="D40" s="7"/>
      <c r="E40" s="7"/>
    </row>
    <row r="41" customFormat="false" ht="25.5" hidden="false" customHeight="true" outlineLevel="0" collapsed="false">
      <c r="A41" s="8" t="s">
        <v>50</v>
      </c>
      <c r="B41" s="8" t="s">
        <v>65</v>
      </c>
      <c r="C41" s="8" t="s">
        <v>66</v>
      </c>
      <c r="D41" s="8"/>
      <c r="E41" s="8" t="s">
        <v>51</v>
      </c>
    </row>
    <row r="42" customFormat="false" ht="24" hidden="false" customHeight="true" outlineLevel="0" collapsed="false">
      <c r="A42" s="9" t="s">
        <v>67</v>
      </c>
      <c r="B42" s="24" t="n">
        <f aca="false">D29</f>
        <v>165</v>
      </c>
      <c r="C42" s="24" t="n">
        <f aca="false">IF(B42="","",B42*B12/B11)</f>
        <v>457.274826789838</v>
      </c>
      <c r="D42" s="25"/>
    </row>
    <row r="43" customFormat="false" ht="24" hidden="false" customHeight="true" outlineLevel="0" collapsed="false">
      <c r="A43" s="9" t="s">
        <v>68</v>
      </c>
      <c r="B43" s="24" t="n">
        <f aca="false">B42*B14</f>
        <v>163.35</v>
      </c>
      <c r="C43" s="24" t="n">
        <f aca="false">IF(B43="","",B43*B12/B11)</f>
        <v>452.70207852194</v>
      </c>
      <c r="D43" s="25"/>
    </row>
    <row r="44" customFormat="false" ht="24" hidden="false" customHeight="true" outlineLevel="0" collapsed="false">
      <c r="A44" s="9" t="s">
        <v>69</v>
      </c>
      <c r="B44" s="24" t="n">
        <f aca="false">B42-B43</f>
        <v>1.65000000000001</v>
      </c>
      <c r="C44" s="24" t="n">
        <f aca="false">IF(B44="","",B44*B12/B11)</f>
        <v>4.5727482678984</v>
      </c>
      <c r="D44" s="25"/>
    </row>
    <row r="45" customFormat="false" ht="24" hidden="false" customHeight="true" outlineLevel="0" collapsed="false">
      <c r="A45" s="9" t="s">
        <v>70</v>
      </c>
      <c r="B45" s="24" t="n">
        <f aca="false">IF(B15&gt;0,D25*B14*1000/B15,"")</f>
        <v>41.58</v>
      </c>
      <c r="C45" s="24" t="n">
        <f aca="false">IF(B45="","",B45*B12/B11)</f>
        <v>115.233256351039</v>
      </c>
      <c r="D45" s="25"/>
      <c r="E45" s="12" t="s">
        <v>71</v>
      </c>
    </row>
    <row r="46" customFormat="false" ht="24" hidden="false" customHeight="true" outlineLevel="0" collapsed="false">
      <c r="A46" s="9" t="s">
        <v>72</v>
      </c>
      <c r="B46" s="24" t="n">
        <f aca="false">IF(B16&gt;0,(B42-D25)*B14*1000/B16,"")</f>
        <v>950.4</v>
      </c>
      <c r="C46" s="24" t="n">
        <f aca="false">IF(B46="","",B46*B12/B11)</f>
        <v>2633.90300230947</v>
      </c>
      <c r="D46" s="25"/>
      <c r="E46" s="12" t="s">
        <v>73</v>
      </c>
    </row>
    <row r="47" customFormat="false" ht="24" hidden="false" customHeight="true" outlineLevel="0" collapsed="false">
      <c r="A47" s="9" t="s">
        <v>74</v>
      </c>
      <c r="B47" s="24" t="n">
        <f aca="false">IF(OR(B45="",B46=""),"",B45+B46)</f>
        <v>991.98</v>
      </c>
      <c r="C47" s="24" t="n">
        <f aca="false">IF(B47="","",B47*B12/B11)</f>
        <v>2749.13625866051</v>
      </c>
      <c r="D47" s="25"/>
    </row>
    <row r="48" customFormat="false" ht="24" hidden="false" customHeight="true" outlineLevel="0" collapsed="false">
      <c r="A48" s="9" t="s">
        <v>75</v>
      </c>
      <c r="B48" s="24" t="n">
        <f aca="false">IF(B47="","",B47*B18)</f>
        <v>793.584</v>
      </c>
      <c r="C48" s="24" t="n">
        <f aca="false">IF(B48="","",B48*B12/B11)</f>
        <v>2199.30900692841</v>
      </c>
      <c r="D48" s="25"/>
    </row>
    <row r="49" customFormat="false" ht="24" hidden="false" customHeight="true" outlineLevel="0" collapsed="false">
      <c r="A49" s="9" t="s">
        <v>76</v>
      </c>
      <c r="B49" s="24" t="n">
        <f aca="false">IF(B47="","",B47-B48)</f>
        <v>198.396</v>
      </c>
      <c r="C49" s="24" t="n">
        <f aca="false">IF(B49="","",B49*B12/B11)</f>
        <v>549.827251732101</v>
      </c>
      <c r="D49" s="25"/>
      <c r="E49" s="12" t="s">
        <v>77</v>
      </c>
    </row>
    <row r="50" customFormat="false" ht="24" hidden="false" customHeight="true" outlineLevel="0" collapsed="false">
      <c r="A50" s="9" t="s">
        <v>78</v>
      </c>
      <c r="B50" s="24" t="n">
        <f aca="false">IF(OR(B48="",B17=0),"",B48/B17)</f>
        <v>396.792</v>
      </c>
      <c r="C50" s="24" t="n">
        <f aca="false">IF(B50="","",B50*B12/B11)</f>
        <v>1099.6545034642</v>
      </c>
      <c r="D50" s="25"/>
      <c r="E50" s="12" t="s">
        <v>79</v>
      </c>
    </row>
    <row r="51" customFormat="false" ht="24" hidden="false" customHeight="true" outlineLevel="0" collapsed="false">
      <c r="A51" s="9" t="s">
        <v>80</v>
      </c>
      <c r="B51" s="24" t="str">
        <f aca="false">IF(B19="","",B43*B19)</f>
        <v/>
      </c>
      <c r="C51" s="24" t="str">
        <f aca="false">IF(B51="","",B51*B12/B11)</f>
        <v/>
      </c>
      <c r="D51" s="25"/>
      <c r="E51" s="12" t="s">
        <v>81</v>
      </c>
    </row>
    <row r="53" customFormat="false" ht="24" hidden="false" customHeight="true" outlineLevel="0" collapsed="false">
      <c r="A53" s="7" t="s">
        <v>82</v>
      </c>
      <c r="B53" s="7"/>
      <c r="C53" s="7"/>
      <c r="D53" s="7"/>
      <c r="E53" s="7"/>
    </row>
    <row r="54" customFormat="false" ht="25.5" hidden="false" customHeight="true" outlineLevel="0" collapsed="false">
      <c r="A54" s="8" t="s">
        <v>4</v>
      </c>
      <c r="B54" s="8" t="s">
        <v>5</v>
      </c>
      <c r="C54" s="8"/>
      <c r="D54" s="8"/>
      <c r="E54" s="8" t="s">
        <v>6</v>
      </c>
    </row>
    <row r="55" customFormat="false" ht="21.75" hidden="false" customHeight="true" outlineLevel="0" collapsed="false">
      <c r="A55" s="9" t="s">
        <v>83</v>
      </c>
      <c r="B55" s="13" t="n">
        <v>0.5</v>
      </c>
      <c r="C55" s="11"/>
      <c r="D55" s="11"/>
      <c r="E55" s="12" t="s">
        <v>84</v>
      </c>
    </row>
    <row r="56" customFormat="false" ht="31.5" hidden="false" customHeight="true" outlineLevel="0" collapsed="false">
      <c r="A56" s="9" t="s">
        <v>85</v>
      </c>
      <c r="B56" s="15" t="n">
        <v>0.5</v>
      </c>
      <c r="C56" s="11"/>
      <c r="D56" s="11"/>
      <c r="E56" s="12" t="s">
        <v>86</v>
      </c>
    </row>
    <row r="57" customFormat="false" ht="25.5" hidden="false" customHeight="true" outlineLevel="0" collapsed="false">
      <c r="A57" s="8" t="s">
        <v>50</v>
      </c>
      <c r="B57" s="8" t="s">
        <v>65</v>
      </c>
      <c r="C57" s="8" t="s">
        <v>66</v>
      </c>
      <c r="D57" s="8"/>
      <c r="E57" s="8" t="s">
        <v>51</v>
      </c>
    </row>
    <row r="58" customFormat="false" ht="24" hidden="false" customHeight="true" outlineLevel="0" collapsed="false">
      <c r="A58" s="9" t="s">
        <v>87</v>
      </c>
      <c r="B58" s="24" t="n">
        <f aca="false">IF(B45="","",B45*B55)</f>
        <v>20.79</v>
      </c>
      <c r="C58" s="24" t="n">
        <f aca="false">IF(B58="","",B58*B12/B11)</f>
        <v>57.6166281755196</v>
      </c>
      <c r="D58" s="25"/>
    </row>
    <row r="59" customFormat="false" ht="24" hidden="false" customHeight="true" outlineLevel="0" collapsed="false">
      <c r="A59" s="9" t="s">
        <v>88</v>
      </c>
      <c r="B59" s="24" t="n">
        <f aca="false">IF(B38="","",B38*B56)</f>
        <v>4.125</v>
      </c>
      <c r="C59" s="24" t="n">
        <f aca="false">IF(B59="","",B59*B12/B11)</f>
        <v>11.431870669746</v>
      </c>
      <c r="D59" s="25"/>
    </row>
    <row r="60" customFormat="false" ht="24" hidden="false" customHeight="true" outlineLevel="0" collapsed="false">
      <c r="A60" s="9" t="s">
        <v>89</v>
      </c>
      <c r="B60" s="24" t="n">
        <f aca="false">IF(OR(B58="",B59=""),"",B58+B59)</f>
        <v>24.915</v>
      </c>
      <c r="C60" s="24" t="n">
        <f aca="false">IF(B60="","",B60*B12/B11)</f>
        <v>69.0484988452656</v>
      </c>
      <c r="D60" s="25"/>
      <c r="E60" s="12" t="s">
        <v>90</v>
      </c>
    </row>
    <row r="61" customFormat="false" ht="24" hidden="false" customHeight="true" outlineLevel="0" collapsed="false">
      <c r="A61" s="9" t="s">
        <v>91</v>
      </c>
      <c r="B61" s="26" t="n">
        <f aca="false">IF(B60="","",B60/B37)</f>
        <v>0.164271114920551</v>
      </c>
      <c r="C61" s="27"/>
      <c r="D61" s="25"/>
      <c r="E61" s="12" t="s">
        <v>92</v>
      </c>
    </row>
    <row r="62" customFormat="false" ht="24" hidden="false" customHeight="true" outlineLevel="0" collapsed="false">
      <c r="A62" s="9" t="s">
        <v>93</v>
      </c>
      <c r="B62" s="19" t="n">
        <f aca="false">IF(OR(B60="",B42=0),"",B60/(B42/1000))</f>
        <v>151</v>
      </c>
      <c r="C62" s="11"/>
      <c r="D62" s="11"/>
    </row>
    <row r="64" customFormat="false" ht="24" hidden="false" customHeight="true" outlineLevel="0" collapsed="false">
      <c r="A64" s="7" t="s">
        <v>94</v>
      </c>
      <c r="B64" s="7"/>
      <c r="C64" s="7"/>
      <c r="D64" s="7"/>
      <c r="E64" s="7"/>
    </row>
    <row r="65" customFormat="false" ht="25.5" hidden="false" customHeight="true" outlineLevel="0" collapsed="false">
      <c r="A65" s="8" t="s">
        <v>4</v>
      </c>
      <c r="B65" s="8" t="s">
        <v>5</v>
      </c>
      <c r="C65" s="8"/>
      <c r="D65" s="8"/>
      <c r="E65" s="8" t="s">
        <v>6</v>
      </c>
    </row>
    <row r="66" customFormat="false" ht="31.5" hidden="false" customHeight="true" outlineLevel="0" collapsed="false">
      <c r="A66" s="9" t="s">
        <v>95</v>
      </c>
      <c r="B66" s="28"/>
      <c r="C66" s="11"/>
      <c r="D66" s="11"/>
      <c r="E66" s="12" t="s">
        <v>96</v>
      </c>
    </row>
    <row r="67" customFormat="false" ht="31.5" hidden="false" customHeight="true" outlineLevel="0" collapsed="false">
      <c r="A67" s="9" t="s">
        <v>97</v>
      </c>
      <c r="B67" s="29"/>
      <c r="C67" s="11"/>
      <c r="D67" s="11"/>
      <c r="E67" s="12" t="s">
        <v>98</v>
      </c>
    </row>
    <row r="68" customFormat="false" ht="21.75" hidden="false" customHeight="true" outlineLevel="0" collapsed="false">
      <c r="A68" s="9" t="s">
        <v>99</v>
      </c>
      <c r="B68" s="30" t="n">
        <v>0</v>
      </c>
      <c r="C68" s="11"/>
      <c r="D68" s="11"/>
      <c r="E68" s="12" t="s">
        <v>100</v>
      </c>
    </row>
    <row r="69" customFormat="false" ht="24" hidden="false" customHeight="true" outlineLevel="0" collapsed="false">
      <c r="A69" s="9" t="s">
        <v>101</v>
      </c>
      <c r="B69" s="31" t="n">
        <f aca="false">B8*B9</f>
        <v>1</v>
      </c>
      <c r="C69" s="11"/>
      <c r="D69" s="11"/>
    </row>
    <row r="70" customFormat="false" ht="31.5" hidden="false" customHeight="true" outlineLevel="0" collapsed="false">
      <c r="A70" s="9" t="s">
        <v>102</v>
      </c>
      <c r="B70" s="28"/>
      <c r="C70" s="11"/>
      <c r="D70" s="11"/>
      <c r="E70" s="12" t="s">
        <v>103</v>
      </c>
    </row>
    <row r="71" customFormat="false" ht="24" hidden="false" customHeight="true" outlineLevel="0" collapsed="false">
      <c r="A71" s="9" t="s">
        <v>104</v>
      </c>
      <c r="B71" s="32" t="n">
        <f aca="false">IF(B70&lt;&gt;"",B70,IF(B69&gt;10,149,IF(B69&gt;=6,152.06,IF(B69&gt;=2,153.12,157.25))))</f>
        <v>157.25</v>
      </c>
      <c r="C71" s="11"/>
      <c r="D71" s="11"/>
      <c r="E71" s="12" t="s">
        <v>105</v>
      </c>
    </row>
    <row r="72" customFormat="false" ht="24" hidden="false" customHeight="true" outlineLevel="0" collapsed="false">
      <c r="A72" s="9" t="s">
        <v>106</v>
      </c>
      <c r="B72" s="33" t="n">
        <f aca="false">B33*B71</f>
        <v>943.5</v>
      </c>
      <c r="C72" s="11"/>
      <c r="D72" s="11"/>
      <c r="E72" s="12" t="s">
        <v>107</v>
      </c>
    </row>
    <row r="73" customFormat="false" ht="24" hidden="false" customHeight="true" outlineLevel="0" collapsed="false">
      <c r="A73" s="9" t="s">
        <v>108</v>
      </c>
      <c r="B73" s="33" t="str">
        <f aca="false">IF(AND(B66="",B67=""),"",D29/1000*N(B66)+N(B67))</f>
        <v/>
      </c>
      <c r="C73" s="11"/>
      <c r="D73" s="11"/>
      <c r="E73" s="12" t="s">
        <v>109</v>
      </c>
    </row>
    <row r="74" customFormat="false" ht="24" hidden="false" customHeight="true" outlineLevel="0" collapsed="false">
      <c r="A74" s="9" t="s">
        <v>110</v>
      </c>
      <c r="B74" s="33" t="str">
        <f aca="false">IF(B73="","",B73-B72)</f>
        <v/>
      </c>
      <c r="C74" s="11"/>
      <c r="D74" s="11"/>
    </row>
    <row r="75" customFormat="false" ht="24" hidden="false" customHeight="true" outlineLevel="0" collapsed="false">
      <c r="A75" s="9" t="s">
        <v>111</v>
      </c>
      <c r="B75" s="33" t="str">
        <f aca="false">IF(B74="","",B74*12)</f>
        <v/>
      </c>
      <c r="C75" s="11"/>
      <c r="D75" s="11"/>
    </row>
    <row r="76" customFormat="false" ht="24" hidden="false" customHeight="true" outlineLevel="0" collapsed="false">
      <c r="A76" s="9" t="s">
        <v>112</v>
      </c>
      <c r="B76" s="34" t="str">
        <f aca="false">IF(OR(B74="",B72=0),"",B75/(B72*12))</f>
        <v/>
      </c>
      <c r="C76" s="11"/>
      <c r="D76" s="11"/>
      <c r="E76" s="12" t="s">
        <v>113</v>
      </c>
    </row>
    <row r="77" customFormat="false" ht="24" hidden="false" customHeight="true" outlineLevel="0" collapsed="false">
      <c r="A77" s="9" t="s">
        <v>114</v>
      </c>
      <c r="B77" s="35" t="str">
        <f aca="false">IF(B74="","",IF(B74&lt;0,"Pas de retour financier : surcoût net",IF(B68&lt;=0,"Immédiat (aucun investissement)",ROUNDUP(B68/B74,0)&amp;" mois")))</f>
        <v/>
      </c>
      <c r="C77" s="11"/>
      <c r="D77" s="11"/>
    </row>
    <row r="78" customFormat="false" ht="24" hidden="false" customHeight="true" outlineLevel="0" collapsed="false">
      <c r="A78" s="9" t="s">
        <v>115</v>
      </c>
      <c r="B78" s="32" t="str">
        <f aca="false">IF(OR(B74="",B43=0),"",MAX(0,-B75)/(B43*12))</f>
        <v/>
      </c>
      <c r="C78" s="11"/>
      <c r="D78" s="11"/>
      <c r="E78" s="12" t="s">
        <v>116</v>
      </c>
    </row>
    <row r="79" customFormat="false" ht="24" hidden="false" customHeight="true" outlineLevel="0" collapsed="false">
      <c r="A79" s="9" t="s">
        <v>117</v>
      </c>
      <c r="B79" s="32" t="str">
        <f aca="false">IF(OR(B74="",B60=""),"",IF(B60=0,"",MAX(0,-B75)/(B60*12)))</f>
        <v/>
      </c>
      <c r="C79" s="11"/>
      <c r="D79" s="11"/>
      <c r="E79" s="12" t="s">
        <v>118</v>
      </c>
    </row>
    <row r="80" customFormat="false" ht="31.5" hidden="false" customHeight="true" outlineLevel="0" collapsed="false">
      <c r="A80" s="9" t="s">
        <v>119</v>
      </c>
      <c r="B80" s="30"/>
      <c r="C80" s="11"/>
      <c r="D80" s="11"/>
      <c r="E80" s="12" t="s">
        <v>120</v>
      </c>
    </row>
    <row r="81" customFormat="false" ht="31.5" hidden="false" customHeight="true" outlineLevel="0" collapsed="false">
      <c r="A81" s="9" t="s">
        <v>121</v>
      </c>
      <c r="B81" s="30"/>
      <c r="C81" s="11"/>
      <c r="D81" s="11"/>
      <c r="E81" s="12" t="s">
        <v>122</v>
      </c>
    </row>
    <row r="82" customFormat="false" ht="24" hidden="false" customHeight="true" outlineLevel="0" collapsed="false">
      <c r="A82" s="9" t="s">
        <v>123</v>
      </c>
      <c r="B82" s="33" t="str">
        <f aca="false">IF(B80="","",0.6*MIN(B80,MAX(20000,0.005*N(B81))))</f>
        <v/>
      </c>
      <c r="C82" s="11"/>
      <c r="D82" s="11"/>
      <c r="E82" s="12" t="s">
        <v>124</v>
      </c>
    </row>
    <row r="84" customFormat="false" ht="30" hidden="false" customHeight="true" outlineLevel="0" collapsed="false">
      <c r="A84" s="5" t="s">
        <v>125</v>
      </c>
      <c r="B84" s="5"/>
      <c r="C84" s="5"/>
      <c r="D84" s="5"/>
      <c r="E84" s="5"/>
    </row>
  </sheetData>
  <mergeCells count="51">
    <mergeCell ref="A1:A3"/>
    <mergeCell ref="B1:E1"/>
    <mergeCell ref="B2:E2"/>
    <mergeCell ref="B3:E3"/>
    <mergeCell ref="A4:E4"/>
    <mergeCell ref="A5:E5"/>
    <mergeCell ref="A6:E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1:E21"/>
    <mergeCell ref="A31:E31"/>
    <mergeCell ref="C33:D33"/>
    <mergeCell ref="C34:D34"/>
    <mergeCell ref="C35:D35"/>
    <mergeCell ref="C36:D36"/>
    <mergeCell ref="C37:D37"/>
    <mergeCell ref="C38:D38"/>
    <mergeCell ref="A40:E40"/>
    <mergeCell ref="A53:E53"/>
    <mergeCell ref="C55:D55"/>
    <mergeCell ref="C56:D56"/>
    <mergeCell ref="C62:D62"/>
    <mergeCell ref="A64:E64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A84:E84"/>
  </mergeCells>
  <dataValidations count="1">
    <dataValidation allowBlank="false" error="Saisir 1, 2 ou 3 collectes par semaine." errorStyle="stop" operator="between" showDropDown="false" showErrorMessage="true" showInputMessage="false" sqref="B10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4"/>
    <col collapsed="false" customWidth="true" hidden="false" outlineLevel="0" max="3" min="3" style="0" width="70"/>
    <col collapsed="false" customWidth="true" hidden="false" outlineLevel="0" max="4" min="4" style="0" width="58"/>
  </cols>
  <sheetData>
    <row r="1" customFormat="false" ht="31.5" hidden="false" customHeight="true" outlineLevel="0" collapsed="false">
      <c r="A1" s="36" t="s">
        <v>126</v>
      </c>
      <c r="B1" s="36"/>
      <c r="C1" s="36"/>
      <c r="D1" s="36"/>
    </row>
    <row r="3" customFormat="false" ht="15" hidden="false" customHeight="false" outlineLevel="0" collapsed="false">
      <c r="A3" s="8" t="s">
        <v>127</v>
      </c>
      <c r="B3" s="8" t="s">
        <v>128</v>
      </c>
      <c r="C3" s="8" t="s">
        <v>129</v>
      </c>
      <c r="D3" s="8" t="s">
        <v>130</v>
      </c>
    </row>
    <row r="4" customFormat="false" ht="78" hidden="false" customHeight="true" outlineLevel="0" collapsed="false">
      <c r="A4" s="37" t="s">
        <v>131</v>
      </c>
      <c r="B4" s="38" t="s">
        <v>132</v>
      </c>
      <c r="C4" s="38" t="s">
        <v>133</v>
      </c>
      <c r="D4" s="38" t="s">
        <v>134</v>
      </c>
    </row>
    <row r="5" customFormat="false" ht="78" hidden="false" customHeight="true" outlineLevel="0" collapsed="false">
      <c r="A5" s="37" t="s">
        <v>135</v>
      </c>
      <c r="B5" s="38" t="s">
        <v>136</v>
      </c>
      <c r="C5" s="38" t="s">
        <v>137</v>
      </c>
      <c r="D5" s="38" t="s">
        <v>138</v>
      </c>
    </row>
    <row r="6" customFormat="false" ht="78" hidden="false" customHeight="true" outlineLevel="0" collapsed="false">
      <c r="A6" s="37" t="s">
        <v>139</v>
      </c>
      <c r="B6" s="38" t="s">
        <v>140</v>
      </c>
      <c r="C6" s="38" t="s">
        <v>141</v>
      </c>
      <c r="D6" s="38" t="s">
        <v>142</v>
      </c>
    </row>
    <row r="7" customFormat="false" ht="78" hidden="false" customHeight="true" outlineLevel="0" collapsed="false">
      <c r="A7" s="37" t="s">
        <v>143</v>
      </c>
      <c r="B7" s="38" t="s">
        <v>144</v>
      </c>
      <c r="C7" s="38" t="s">
        <v>145</v>
      </c>
      <c r="D7" s="38" t="s">
        <v>146</v>
      </c>
    </row>
    <row r="8" customFormat="false" ht="78" hidden="false" customHeight="true" outlineLevel="0" collapsed="false">
      <c r="A8" s="37" t="s">
        <v>147</v>
      </c>
      <c r="B8" s="38" t="s">
        <v>148</v>
      </c>
      <c r="C8" s="38" t="s">
        <v>149</v>
      </c>
      <c r="D8" s="38" t="s">
        <v>150</v>
      </c>
    </row>
    <row r="11" customFormat="false" ht="66" hidden="false" customHeight="true" outlineLevel="0" collapsed="false">
      <c r="A11" s="39" t="s">
        <v>151</v>
      </c>
      <c r="B11" s="39"/>
      <c r="C11" s="40" t="s">
        <v>152</v>
      </c>
      <c r="D11" s="40"/>
    </row>
    <row r="12" customFormat="false" ht="66" hidden="false" customHeight="true" outlineLevel="0" collapsed="false">
      <c r="A12" s="41" t="s">
        <v>153</v>
      </c>
      <c r="B12" s="41"/>
      <c r="C12" s="40" t="s">
        <v>154</v>
      </c>
      <c r="D12" s="40"/>
    </row>
    <row r="13" customFormat="false" ht="66" hidden="false" customHeight="true" outlineLevel="0" collapsed="false">
      <c r="A13" s="42" t="s">
        <v>155</v>
      </c>
      <c r="B13" s="42"/>
      <c r="C13" s="40" t="s">
        <v>156</v>
      </c>
      <c r="D13" s="40"/>
    </row>
    <row r="14" customFormat="false" ht="66" hidden="false" customHeight="true" outlineLevel="0" collapsed="false">
      <c r="A14" s="43" t="s">
        <v>157</v>
      </c>
      <c r="B14" s="43"/>
      <c r="C14" s="40" t="s">
        <v>158</v>
      </c>
      <c r="D14" s="40"/>
    </row>
    <row r="15" customFormat="false" ht="66" hidden="false" customHeight="true" outlineLevel="0" collapsed="false">
      <c r="A15" s="39" t="s">
        <v>159</v>
      </c>
      <c r="B15" s="39"/>
      <c r="C15" s="40" t="s">
        <v>160</v>
      </c>
      <c r="D15" s="40"/>
    </row>
  </sheetData>
  <mergeCells count="11">
    <mergeCell ref="A1:D1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2026-10-20T11:11:53Z</dcterms:created>
  <dc:creator>openpyxl</dc:creator>
  <dc:description/>
  <dc:language>en-US</dc:language>
  <cp:lastModifiedBy/>
  <dcterms:modified xsi:type="dcterms:W3CDTF">2026-10-20T11:11:53Z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